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45" tabRatio="807" activeTab="2"/>
  </bookViews>
  <sheets>
    <sheet name="2018" sheetId="10" r:id="rId1"/>
    <sheet name="Рейтинг инвстиционных инструмен" sheetId="11" r:id="rId2"/>
    <sheet name="Расчеты на 300 000" sheetId="13" r:id="rId3"/>
    <sheet name="Доходность за 2 года" sheetId="12" r:id="rId4"/>
    <sheet name="Ссылки на источники" sheetId="9" r:id="rId5"/>
  </sheets>
  <calcPr calcId="152511"/>
</workbook>
</file>

<file path=xl/calcChain.xml><?xml version="1.0" encoding="utf-8"?>
<calcChain xmlns="http://schemas.openxmlformats.org/spreadsheetml/2006/main">
  <c r="D3" i="13" l="1"/>
  <c r="D2" i="13"/>
  <c r="D24" i="13" l="1"/>
  <c r="D25" i="13"/>
  <c r="E30" i="10"/>
  <c r="C8" i="10"/>
  <c r="C6" i="10"/>
  <c r="C5" i="10"/>
  <c r="F27" i="10"/>
  <c r="F26" i="10"/>
  <c r="C4" i="10"/>
  <c r="C35" i="10"/>
  <c r="C9" i="10"/>
  <c r="C10" i="10"/>
  <c r="D32" i="10"/>
  <c r="D31" i="10"/>
  <c r="E32" i="10"/>
  <c r="E31" i="10"/>
  <c r="C12" i="10"/>
  <c r="F40" i="10"/>
  <c r="C16" i="10"/>
  <c r="D11" i="13"/>
  <c r="F24" i="13"/>
  <c r="G24" i="13" s="1"/>
  <c r="F25" i="13"/>
  <c r="G25" i="13" s="1"/>
  <c r="E25" i="13"/>
  <c r="E24" i="13"/>
  <c r="C46" i="10"/>
  <c r="C20" i="10" s="1"/>
  <c r="C36" i="10"/>
  <c r="C13" i="10" s="1"/>
  <c r="D4" i="13" l="1"/>
  <c r="D8" i="13"/>
  <c r="B12" i="11" l="1"/>
  <c r="B7" i="11"/>
  <c r="E27" i="10"/>
  <c r="D50" i="10"/>
  <c r="E50" i="10" s="1"/>
  <c r="C22" i="10" s="1"/>
  <c r="B16" i="11" s="1"/>
  <c r="C30" i="10"/>
  <c r="B19" i="13" l="1"/>
  <c r="B18" i="13"/>
  <c r="D5" i="13"/>
  <c r="D6" i="13"/>
  <c r="D7" i="13"/>
  <c r="D9" i="13"/>
  <c r="D10" i="13"/>
  <c r="D12" i="13"/>
  <c r="D13" i="13"/>
  <c r="D14" i="13"/>
  <c r="D15" i="13"/>
  <c r="D3" i="12"/>
  <c r="D4" i="12"/>
  <c r="D5" i="12"/>
  <c r="D2" i="12"/>
  <c r="C31" i="10"/>
  <c r="B13" i="10" l="1"/>
  <c r="B12" i="10"/>
  <c r="B6" i="11" l="1"/>
  <c r="B11" i="11"/>
  <c r="C32" i="10"/>
  <c r="B9" i="11" s="1"/>
  <c r="E26" i="10"/>
  <c r="E42" i="10"/>
  <c r="E41" i="10"/>
  <c r="E40" i="10"/>
  <c r="E39" i="10"/>
  <c r="F41" i="10" l="1"/>
  <c r="C17" i="10" s="1"/>
  <c r="B14" i="11" s="1"/>
  <c r="F39" i="10"/>
  <c r="C15" i="10" s="1"/>
  <c r="B13" i="11" s="1"/>
  <c r="B5" i="10"/>
  <c r="F42" i="10"/>
  <c r="C18" i="10" s="1"/>
  <c r="B3" i="11" s="1"/>
  <c r="B15" i="11"/>
  <c r="B8" i="10"/>
  <c r="B16" i="10"/>
  <c r="B6" i="10"/>
  <c r="B10" i="11" s="1"/>
  <c r="B17" i="10"/>
  <c r="B18" i="10"/>
  <c r="B15" i="10"/>
  <c r="B8" i="11" l="1"/>
  <c r="B4" i="11"/>
  <c r="B5" i="11"/>
</calcChain>
</file>

<file path=xl/sharedStrings.xml><?xml version="1.0" encoding="utf-8"?>
<sst xmlns="http://schemas.openxmlformats.org/spreadsheetml/2006/main" count="136" uniqueCount="94">
  <si>
    <t xml:space="preserve">Банковские вклады </t>
  </si>
  <si>
    <t>в рублях</t>
  </si>
  <si>
    <t>в долларах</t>
  </si>
  <si>
    <t>в евро</t>
  </si>
  <si>
    <t>Наличные сбережения</t>
  </si>
  <si>
    <t xml:space="preserve">фонды акций </t>
  </si>
  <si>
    <t>фонды облигаций</t>
  </si>
  <si>
    <t>Альтернативные инструменты</t>
  </si>
  <si>
    <t>ОМС в золоте</t>
  </si>
  <si>
    <t>ОМС в серебре</t>
  </si>
  <si>
    <t>ОМС в платине</t>
  </si>
  <si>
    <t>Фонды облигаций</t>
  </si>
  <si>
    <t>Открытые ПИФы (cредневзвешенная доходность)</t>
  </si>
  <si>
    <t xml:space="preserve">Инвестиционные/сберегательные инструменты </t>
  </si>
  <si>
    <t>Наличные сбережения в рублях</t>
  </si>
  <si>
    <t>Наличные сбережения в евро</t>
  </si>
  <si>
    <t xml:space="preserve">Фонды акций </t>
  </si>
  <si>
    <t>Номинальная доходность с начала года  (%%)</t>
  </si>
  <si>
    <t>Реальная доходность с начала года (%%)</t>
  </si>
  <si>
    <t>Доллары</t>
  </si>
  <si>
    <t>Евро</t>
  </si>
  <si>
    <t>ОМС в палладии</t>
  </si>
  <si>
    <t>Наименование инвестиционного инструмента</t>
  </si>
  <si>
    <t>Наличные сбереженияв долларах</t>
  </si>
  <si>
    <t>Банковские вклады в рублях</t>
  </si>
  <si>
    <t>Банковские вклады в евро</t>
  </si>
  <si>
    <t>Банковские вклады в долларах</t>
  </si>
  <si>
    <t>Недвижимость</t>
  </si>
  <si>
    <t>Недвижимость в России</t>
  </si>
  <si>
    <t>Биткоин</t>
  </si>
  <si>
    <t>Криптовалюта</t>
  </si>
  <si>
    <t>Реальная доходность с начала года</t>
  </si>
  <si>
    <t>Номинальная доходность  с начала года</t>
  </si>
  <si>
    <t>Реальная рублевая доходность с начала 2018 года (%%)</t>
  </si>
  <si>
    <t>Курс продажи*                        на 4 января 2018 года</t>
  </si>
  <si>
    <t xml:space="preserve">Курс покупки *                              на 30 ноября 2018 года            </t>
  </si>
  <si>
    <t>Накопленная инфляция  с начала 2018 года до 30 ноября</t>
  </si>
  <si>
    <t>Золото* (на 9 января 2018 года)</t>
  </si>
  <si>
    <t>Серебро*</t>
  </si>
  <si>
    <t>Платина*</t>
  </si>
  <si>
    <t>Палладий*</t>
  </si>
  <si>
    <t>в рублях (до 1 года, включая ''до востребования')</t>
  </si>
  <si>
    <t>Годовые ставки (январь 2018 года)</t>
  </si>
  <si>
    <t>Номинальная доходность за 11 месяцев</t>
  </si>
  <si>
    <t>http://www.gks.ru/dbscripts/cbsd/DBInet.cgi</t>
  </si>
  <si>
    <t>в % к декабрю предыдущего года</t>
  </si>
  <si>
    <t>https://www.sberbank.ru/ru/quotes/metalbeznal</t>
  </si>
  <si>
    <t>Котировки металов (Москва)</t>
  </si>
  <si>
    <t>https://www.sberbank.ru/ru/quotes/currencies</t>
  </si>
  <si>
    <t>Валюты</t>
  </si>
  <si>
    <t>Инфляция</t>
  </si>
  <si>
    <t>Ставки по вкладам в целом по России</t>
  </si>
  <si>
    <t>https://docviewer.yandex.ru/view/85410794/?*=JqEz7%2FEV3r8Rb474%2FjjrtjlYv%2BB7InVybCI6InlhLWJyb3dzZXI6Ly80RFQxdVhFUFJySlJYbFVGb2V3cnVMcGdhSGxvWHZ4WjBYMzV3RXFHZjBFM05iWmF4d002Z25XM1VYcGQtSUdISjB6Ti1DUGtmY3BHdnNPeXhJY3A5RDA0TmtZdHpGdElrdWRnMFhtWXJzZHRrV2N2cktxYzBrdGdKUVdydnNIWWRJbkJ4XzhoNW1yVmlFUDItNmFac3c9PT9zaWduPUluLUVYcDI5Uk40WklIbVZZVDJUdnA0SmdfWEs0VVlQVU9USTBpRFpzME09IiwidGl0bGUiOiJkZXBvc2l0c18zMF8xOC54bHN4IiwidWlkIjoiODU0MTA3OTQiLCJ5dSI6IjM5NjY2MDQ4MjE1MjEyODI3NTYiLCJub2lmcmFtZSI6ZmFsc2UsInRzIjoxNTQ0NTkxNzk0OTg5fQ%3D%3D</t>
  </si>
  <si>
    <t>Ставки по 30 крупнейшим банкам</t>
  </si>
  <si>
    <t>Банковские вклады (в целом по России)</t>
  </si>
  <si>
    <t>Номинальная рублевая доходность с начала 2018 года (%%)</t>
  </si>
  <si>
    <t>ПИФы</t>
  </si>
  <si>
    <t xml:space="preserve">http://pif.investfunds.ru/analitics/indices/?date=30.11.2018&amp;compare_type=period&amp;date_from=04.01.2018&amp;date_to=30.11.2018 </t>
  </si>
  <si>
    <t>Индексы потребительских цен на товары и услуги, процент, Российская федерация, все товары, ноябрь 2018 года</t>
  </si>
  <si>
    <t>Стоимость криптовалюты ($) на 1 января 2018 года</t>
  </si>
  <si>
    <t>Недвижимость в Москве  (типовая квартира)</t>
  </si>
  <si>
    <t>Рейтинг инвестиционных инструментов</t>
  </si>
  <si>
    <t>https://docviewer.yandex.ru/view/220122007/?*=7ZJx8npD8QLPAuCn3fXo2Cjlv5d7InVybCI6InlhLWJyb3dzZXI6Ly80RFQxdVhFUFJySlJYbFVGb2V3cnVDWWstV0paUHhQRWdXVnhtOTlwS2N3SmNSc3VMU3BRR0lSME5uWnBQdXA5NGhFU2d5QzFTNEJrVTZPQ2xkckt4NVIxSzh6WllLdk9KcTVWUnFyR1hvcHdFMWlKNzUxUkh5OEY2WXcwTWhjUEgzRkExNHo4RkE2Q083MHl6ZDFBa3c9PT9zaWduPWlCbzZsb2d2aGk3Yl9YMHFqcHNWSjNOWnNfaGlOekIwOVQ3MnR4VVlyeU09IiwidGl0bGUiOiJkZXBvc2l0c18xOC54bHN4IiwidWlkIjoiMjIwMTIyMDA3IiwieXUiOiIzOTY2NjA0ODIxNTIxMjgyNzU2Iiwibm9pZnJhbWUiOmZhbHNlLCJ0cyI6MTU0NDcyNTUwNzM4NX0%3D</t>
  </si>
  <si>
    <t xml:space="preserve">30 ноября 2016 продажа </t>
  </si>
  <si>
    <t>30 ноября 2018 покупка</t>
  </si>
  <si>
    <t>Золото</t>
  </si>
  <si>
    <t>Серебро</t>
  </si>
  <si>
    <t>Платина</t>
  </si>
  <si>
    <t>Палладий</t>
  </si>
  <si>
    <t>ОМС</t>
  </si>
  <si>
    <t>Доходность за 2 года</t>
  </si>
  <si>
    <t>Сумма сбережения</t>
  </si>
  <si>
    <t>Сколько заработал/потерял</t>
  </si>
  <si>
    <t>300 000 рублей</t>
  </si>
  <si>
    <t>Долларовый эксвивалент</t>
  </si>
  <si>
    <t>Эквивалент в евро</t>
  </si>
  <si>
    <t>Сумма вклада в рублях или эвивалент вклада в рублях</t>
  </si>
  <si>
    <t>ВТБ – Фонд Нефтегазового сектора</t>
  </si>
  <si>
    <t>http://pif.investfunds.ru/funds/rate.phtml?free_ranking=0&amp;funds_types=1&amp;year=2018&amp;month=11&amp;date_from=31.10.2018&amp;date_to=30.11.2018&amp;year1=2017&amp;month1=1&amp;year2=2018&amp;month2=11&amp;min_nav=1&amp;funds_values=1&amp;specs%5B1%5D=0&amp;specs%5B2%5D=0&amp;specs%5B4%5D=0&amp;specs%5B5%5D=0&amp;period=year&amp;sort=1&amp;page_num=0&amp;get_xls=0&amp;ajax=1</t>
  </si>
  <si>
    <t xml:space="preserve">ПИФы по доходности </t>
  </si>
  <si>
    <t xml:space="preserve"> Альфа-Капитал Стратегические инвестиции</t>
  </si>
  <si>
    <t>Стоимость криптовалюты ($) на 30 ноября 2017 года</t>
  </si>
  <si>
    <t>Доходность с учетом инфляции и НДФЛ 13%</t>
  </si>
  <si>
    <t xml:space="preserve">Доходность с учетом инфляции </t>
  </si>
  <si>
    <t>Доходность с начала года  в рублях</t>
  </si>
  <si>
    <t>Наличные сбережения в долларах</t>
  </si>
  <si>
    <t>Падение стоимости с января по ноябрь %%</t>
  </si>
  <si>
    <t>Реальная доходность с начала 2018 года</t>
  </si>
  <si>
    <t>Номинальная доходность с начала 2018 года</t>
  </si>
  <si>
    <t>РАСЧЕТЫ</t>
  </si>
  <si>
    <t>Номинальная доходность с начала года</t>
  </si>
  <si>
    <t>Реальная доходность  с начала года</t>
  </si>
  <si>
    <t>Номинальная доходность с начала года вклада и валюты</t>
  </si>
  <si>
    <t>Реальная доходность вклада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</si>
</sst>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 tint="0.249977111117893"/>
      <name val="Arial"/>
      <family val="2"/>
      <charset val="204"/>
    </font>
    <font>
      <sz val="10"/>
      <color theme="1" tint="0.34998626667073579"/>
      <name val="Arial"/>
      <family val="2"/>
      <charset val="204"/>
    </font>
    <font>
      <b/>
      <sz val="10"/>
      <color theme="1" tint="0.34998626667073579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sz val="11"/>
      <color theme="1" tint="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2"/>
      <color theme="1" tint="0.34998626667073579"/>
      <name val="Arial"/>
      <family val="2"/>
      <charset val="204"/>
    </font>
    <font>
      <b/>
      <sz val="26"/>
      <color theme="1" tint="0.249977111117893"/>
      <name val="Arial"/>
      <family val="2"/>
      <charset val="204"/>
    </font>
    <font>
      <b/>
      <sz val="26"/>
      <color theme="1"/>
      <name val="Calibri"/>
      <family val="2"/>
      <scheme val="minor"/>
    </font>
    <font>
      <sz val="48"/>
      <color theme="1" tint="0.3499862666707357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0" borderId="0" xfId="0" applyAlignment="1">
      <alignment horizontal="center" vertical="center" wrapText="1"/>
    </xf>
    <xf numFmtId="0" fontId="7" fillId="0" borderId="0" xfId="0" applyFont="1"/>
    <xf numFmtId="0" fontId="0" fillId="0" borderId="0" xfId="0"/>
    <xf numFmtId="3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4" fillId="5" borderId="1" xfId="0" applyFont="1" applyFill="1" applyBorder="1"/>
    <xf numFmtId="0" fontId="3" fillId="0" borderId="1" xfId="0" applyFont="1" applyFill="1" applyBorder="1"/>
    <xf numFmtId="0" fontId="3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vertical="center"/>
    </xf>
    <xf numFmtId="0" fontId="2" fillId="7" borderId="1" xfId="0" applyFont="1" applyFill="1" applyBorder="1"/>
    <xf numFmtId="2" fontId="6" fillId="7" borderId="1" xfId="0" applyNumberFormat="1" applyFont="1" applyFill="1" applyBorder="1" applyAlignment="1">
      <alignment horizontal="center"/>
    </xf>
    <xf numFmtId="0" fontId="2" fillId="7" borderId="2" xfId="0" applyFont="1" applyFill="1" applyBorder="1"/>
    <xf numFmtId="2" fontId="6" fillId="7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/>
    <xf numFmtId="10" fontId="0" fillId="0" borderId="0" xfId="0" applyNumberFormat="1"/>
    <xf numFmtId="164" fontId="2" fillId="7" borderId="1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/>
    </xf>
    <xf numFmtId="3" fontId="6" fillId="7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2" fontId="3" fillId="5" borderId="0" xfId="0" applyNumberFormat="1" applyFont="1" applyFill="1" applyBorder="1" applyAlignment="1">
      <alignment horizontal="center"/>
    </xf>
    <xf numFmtId="0" fontId="11" fillId="5" borderId="0" xfId="0" applyFont="1" applyFill="1" applyBorder="1"/>
    <xf numFmtId="4" fontId="3" fillId="5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>
                <a:solidFill>
                  <a:schemeClr val="tx1">
                    <a:lumMod val="50000"/>
                    <a:lumOff val="50000"/>
                  </a:schemeClr>
                </a:solidFill>
              </a:rPr>
              <a:t>Рейтинг инвестиционных инструментов</a:t>
            </a:r>
          </a:p>
          <a:p>
            <a:pPr>
              <a:defRPr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ru-RU" sz="1100" b="1">
                <a:solidFill>
                  <a:schemeClr val="tx1">
                    <a:lumMod val="50000"/>
                    <a:lumOff val="50000"/>
                  </a:schemeClr>
                </a:solidFill>
              </a:rPr>
              <a:t>Реальная рублевая доходность за 11</a:t>
            </a:r>
            <a:r>
              <a:rPr lang="ru-RU" sz="1100" b="1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месяцев 2018 г. (%)</a:t>
            </a:r>
            <a:endParaRPr lang="ru-RU" sz="1100" b="1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'Рейтинг инвстиционных инструмен'!$B$2</c:f>
              <c:strCache>
                <c:ptCount val="1"/>
                <c:pt idx="0">
                  <c:v>Реальная рублевая доходность с начала 2018 года (%%)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EA1-406D-9958-36C1CF7D107E}"/>
              </c:ext>
            </c:extLst>
          </c:dPt>
          <c:dPt>
            <c:idx val="1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EA1-406D-9958-36C1CF7D107E}"/>
              </c:ext>
            </c:extLst>
          </c:dPt>
          <c:dPt>
            <c:idx val="2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EA1-406D-9958-36C1CF7D107E}"/>
              </c:ext>
            </c:extLst>
          </c:dPt>
          <c:dPt>
            <c:idx val="3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EA1-406D-9958-36C1CF7D107E}"/>
              </c:ext>
            </c:extLst>
          </c:dPt>
          <c:dPt>
            <c:idx val="4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EA1-406D-9958-36C1CF7D107E}"/>
              </c:ext>
            </c:extLst>
          </c:dPt>
          <c:dPt>
            <c:idx val="5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EA1-406D-9958-36C1CF7D107E}"/>
              </c:ext>
            </c:extLst>
          </c:dPt>
          <c:dPt>
            <c:idx val="6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EA1-406D-9958-36C1CF7D107E}"/>
              </c:ext>
            </c:extLst>
          </c:dPt>
          <c:dPt>
            <c:idx val="7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EA1-406D-9958-36C1CF7D107E}"/>
              </c:ext>
            </c:extLst>
          </c:dPt>
          <c:dPt>
            <c:idx val="8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EA1-406D-9958-36C1CF7D10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'Рейтинг инвстиционных инструмен'!$A$3:$A$16</c:f>
              <c:strCache>
                <c:ptCount val="14"/>
                <c:pt idx="0">
                  <c:v>ОМС в палладии</c:v>
                </c:pt>
                <c:pt idx="1">
                  <c:v>Банковские вклады в долларах</c:v>
                </c:pt>
                <c:pt idx="2">
                  <c:v>Наличные сбереженияв долларах</c:v>
                </c:pt>
                <c:pt idx="3">
                  <c:v>Фонды акций </c:v>
                </c:pt>
                <c:pt idx="4">
                  <c:v>Недвижимость</c:v>
                </c:pt>
                <c:pt idx="5">
                  <c:v>Банковские вклады в рублях</c:v>
                </c:pt>
                <c:pt idx="6">
                  <c:v>Банковские вклады в евро</c:v>
                </c:pt>
                <c:pt idx="7">
                  <c:v>Наличные сбережения в евро</c:v>
                </c:pt>
                <c:pt idx="8">
                  <c:v>Фонды облигаций</c:v>
                </c:pt>
                <c:pt idx="9">
                  <c:v>Наличные сбережения в рублях</c:v>
                </c:pt>
                <c:pt idx="10">
                  <c:v>ОМС в золоте</c:v>
                </c:pt>
                <c:pt idx="11">
                  <c:v>ОМС в платине</c:v>
                </c:pt>
                <c:pt idx="12">
                  <c:v>ОМС в серебре</c:v>
                </c:pt>
                <c:pt idx="13">
                  <c:v>Биткоин</c:v>
                </c:pt>
              </c:strCache>
            </c:strRef>
          </c:cat>
          <c:val>
            <c:numRef>
              <c:f>'Рейтинг инвстиционных инструмен'!$B$3:$B$16</c:f>
              <c:numCache>
                <c:formatCode>0.00</c:formatCode>
                <c:ptCount val="14"/>
                <c:pt idx="0">
                  <c:v>10.196096146161725</c:v>
                </c:pt>
                <c:pt idx="1">
                  <c:v>8.6766553566612217</c:v>
                </c:pt>
                <c:pt idx="2">
                  <c:v>8.0028313246787839</c:v>
                </c:pt>
                <c:pt idx="3">
                  <c:v>2.2826192088209796</c:v>
                </c:pt>
                <c:pt idx="4">
                  <c:v>2.0117999806557707</c:v>
                </c:pt>
                <c:pt idx="5">
                  <c:v>1.6249153689911866</c:v>
                </c:pt>
                <c:pt idx="6">
                  <c:v>1.2804505356976748</c:v>
                </c:pt>
                <c:pt idx="7">
                  <c:v>1.0499317879141934</c:v>
                </c:pt>
                <c:pt idx="8">
                  <c:v>0.18377019054067745</c:v>
                </c:pt>
                <c:pt idx="9">
                  <c:v>-3.2788470838572392</c:v>
                </c:pt>
                <c:pt idx="10">
                  <c:v>-5.905277446397128</c:v>
                </c:pt>
                <c:pt idx="11">
                  <c:v>-15.155063715383621</c:v>
                </c:pt>
                <c:pt idx="12">
                  <c:v>-15.368991198375092</c:v>
                </c:pt>
                <c:pt idx="13">
                  <c:v>-71.154825836060255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A1-406D-9958-36C1CF7D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724008"/>
        <c:axId val="306444232"/>
      </c:barChart>
      <c:catAx>
        <c:axId val="30672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6444232"/>
        <c:crosses val="autoZero"/>
        <c:auto val="1"/>
        <c:lblAlgn val="ctr"/>
        <c:lblOffset val="100"/>
        <c:noMultiLvlLbl val="0"/>
      </c:catAx>
      <c:valAx>
        <c:axId val="30644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672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561976</xdr:colOff>
      <xdr:row>1</xdr:row>
      <xdr:rowOff>47625</xdr:rowOff>
    </xdr:from>
    <xdr:to>
      <xdr:col>13</xdr:col>
      <xdr:colOff>485776</xdr:colOff>
      <xdr:row>18</xdr:row>
      <xdr:rowOff>188914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if.investfunds.ru/funds/1009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pif.investfunds.ru/analitics/indices/?date=30.11.2018&amp;compare_type=period&amp;date_from=04.01.2018&amp;date_to=30.11.2018" TargetMode="External"/><Relationship Id="rId2" Type="http://schemas.openxmlformats.org/officeDocument/2006/relationships/hyperlink" Target="https://www.sberbank.ru/ru/quotes/currencies" TargetMode="External"/><Relationship Id="rId1" Type="http://schemas.openxmlformats.org/officeDocument/2006/relationships/hyperlink" Target="https://www.sberbank.ru/ru/quotes/metalbez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7" workbookViewId="0">
      <selection activeCell="F14" sqref="F14"/>
    </sheetView>
  </sheetViews>
  <sheetFormatPr defaultColWidth="9.140625" defaultRowHeight="15" x14ac:dyDescent="0.25"/>
  <cols>
    <col min="1" max="1" width="36.7109375" style="16" customWidth="1"/>
    <col min="2" max="2" width="27.7109375" style="16" customWidth="1"/>
    <col min="3" max="5" width="27.42578125" style="16" customWidth="1"/>
    <col min="6" max="6" width="21.7109375" style="2" customWidth="1"/>
    <col min="7" max="7" width="15.5703125" style="16" customWidth="1"/>
    <col min="8" max="8" width="14.5703125" style="16" customWidth="1"/>
    <col min="9" max="16384" width="9.140625" style="16"/>
  </cols>
  <sheetData>
    <row r="1" spans="1:6" x14ac:dyDescent="0.25">
      <c r="D1" s="2"/>
      <c r="E1" s="2"/>
    </row>
    <row r="2" spans="1:6" ht="25.5" x14ac:dyDescent="0.25">
      <c r="A2" s="12" t="s">
        <v>13</v>
      </c>
      <c r="B2" s="12" t="s">
        <v>17</v>
      </c>
      <c r="C2" s="12" t="s">
        <v>18</v>
      </c>
      <c r="D2" s="46"/>
      <c r="E2" s="2"/>
      <c r="F2" s="14"/>
    </row>
    <row r="3" spans="1:6" x14ac:dyDescent="0.25">
      <c r="A3" s="51" t="s">
        <v>4</v>
      </c>
      <c r="B3" s="52"/>
      <c r="C3" s="52"/>
      <c r="D3" s="46"/>
      <c r="E3" s="2"/>
    </row>
    <row r="4" spans="1:6" x14ac:dyDescent="0.25">
      <c r="A4" s="20" t="s">
        <v>1</v>
      </c>
      <c r="B4" s="3">
        <v>0</v>
      </c>
      <c r="C4" s="6">
        <f>((1+B4/100)/(1+0.0339)-1)*100</f>
        <v>-3.2788470838572392</v>
      </c>
      <c r="D4" s="46"/>
      <c r="E4" s="2"/>
    </row>
    <row r="5" spans="1:6" x14ac:dyDescent="0.25">
      <c r="A5" s="20" t="s">
        <v>2</v>
      </c>
      <c r="B5" s="6">
        <f>E26</f>
        <v>11.664127306585385</v>
      </c>
      <c r="C5" s="6">
        <f>F26</f>
        <v>8.0028313246787839</v>
      </c>
      <c r="D5" s="46"/>
      <c r="E5" s="2"/>
    </row>
    <row r="6" spans="1:6" x14ac:dyDescent="0.25">
      <c r="A6" s="20" t="s">
        <v>3</v>
      </c>
      <c r="B6" s="6">
        <f>E27</f>
        <v>4.4755244755244803</v>
      </c>
      <c r="C6" s="6">
        <f>F27</f>
        <v>1.0499317879141934</v>
      </c>
      <c r="D6" s="46"/>
      <c r="E6" s="2"/>
    </row>
    <row r="7" spans="1:6" x14ac:dyDescent="0.25">
      <c r="A7" s="44" t="s">
        <v>0</v>
      </c>
      <c r="B7" s="45"/>
      <c r="C7" s="45"/>
      <c r="D7" s="46"/>
      <c r="E7" s="2"/>
    </row>
    <row r="8" spans="1:6" x14ac:dyDescent="0.25">
      <c r="A8" s="20" t="s">
        <v>1</v>
      </c>
      <c r="B8" s="6">
        <f>C30</f>
        <v>5.0691666666666668</v>
      </c>
      <c r="C8" s="6">
        <f>E30</f>
        <v>1.6249153689911866</v>
      </c>
      <c r="D8" s="2"/>
      <c r="E8" s="2"/>
    </row>
    <row r="9" spans="1:6" x14ac:dyDescent="0.25">
      <c r="A9" s="20" t="s">
        <v>2</v>
      </c>
      <c r="B9" s="6">
        <v>0.7</v>
      </c>
      <c r="C9" s="6">
        <f t="shared" ref="C9:C10" si="0">E31</f>
        <v>8.6766553566612217</v>
      </c>
      <c r="D9" s="2"/>
      <c r="E9" s="2"/>
    </row>
    <row r="10" spans="1:6" x14ac:dyDescent="0.25">
      <c r="A10" s="20" t="s">
        <v>3</v>
      </c>
      <c r="B10" s="6">
        <v>0.24</v>
      </c>
      <c r="C10" s="6">
        <f t="shared" si="0"/>
        <v>1.2804505356976748</v>
      </c>
      <c r="D10" s="2"/>
      <c r="E10" s="2"/>
    </row>
    <row r="11" spans="1:6" ht="30" customHeight="1" x14ac:dyDescent="0.25">
      <c r="A11" s="44" t="s">
        <v>12</v>
      </c>
      <c r="B11" s="45"/>
      <c r="C11" s="45"/>
      <c r="D11" s="2"/>
      <c r="E11" s="2"/>
    </row>
    <row r="12" spans="1:6" x14ac:dyDescent="0.25">
      <c r="A12" s="20" t="s">
        <v>5</v>
      </c>
      <c r="B12" s="6">
        <f>B35</f>
        <v>5.75</v>
      </c>
      <c r="C12" s="6">
        <f>C35</f>
        <v>2.2826192088209796</v>
      </c>
      <c r="D12" s="2"/>
      <c r="E12" s="2"/>
    </row>
    <row r="13" spans="1:6" x14ac:dyDescent="0.25">
      <c r="A13" s="20" t="s">
        <v>6</v>
      </c>
      <c r="B13" s="6">
        <f>B36</f>
        <v>3.58</v>
      </c>
      <c r="C13" s="6">
        <f>C36</f>
        <v>0.18377019054067745</v>
      </c>
      <c r="D13" s="2"/>
      <c r="E13" s="2"/>
    </row>
    <row r="14" spans="1:6" x14ac:dyDescent="0.25">
      <c r="A14" s="44" t="s">
        <v>7</v>
      </c>
      <c r="B14" s="45"/>
      <c r="C14" s="45"/>
      <c r="D14" s="2"/>
      <c r="E14" s="2"/>
    </row>
    <row r="15" spans="1:6" x14ac:dyDescent="0.25">
      <c r="A15" s="20" t="s">
        <v>8</v>
      </c>
      <c r="B15" s="6">
        <f t="shared" ref="B15:C18" si="1">E39</f>
        <v>-2.7154663518299884</v>
      </c>
      <c r="C15" s="6">
        <f t="shared" si="1"/>
        <v>-5.905277446397128</v>
      </c>
      <c r="D15" s="2"/>
      <c r="E15" s="2"/>
    </row>
    <row r="16" spans="1:6" x14ac:dyDescent="0.25">
      <c r="A16" s="20" t="s">
        <v>9</v>
      </c>
      <c r="B16" s="6">
        <f t="shared" si="1"/>
        <v>-12.5</v>
      </c>
      <c r="C16" s="6">
        <f t="shared" si="1"/>
        <v>-15.368991198375092</v>
      </c>
      <c r="D16" s="2"/>
      <c r="E16" s="2"/>
    </row>
    <row r="17" spans="1:6" x14ac:dyDescent="0.25">
      <c r="A17" s="20" t="s">
        <v>10</v>
      </c>
      <c r="B17" s="6">
        <f t="shared" si="1"/>
        <v>-12.278820375335116</v>
      </c>
      <c r="C17" s="6">
        <f t="shared" si="1"/>
        <v>-15.155063715383621</v>
      </c>
      <c r="D17" s="2"/>
      <c r="E17" s="2"/>
    </row>
    <row r="18" spans="1:6" x14ac:dyDescent="0.25">
      <c r="A18" s="20" t="s">
        <v>21</v>
      </c>
      <c r="B18" s="6">
        <f t="shared" si="1"/>
        <v>13.931743805516604</v>
      </c>
      <c r="C18" s="6">
        <f t="shared" si="1"/>
        <v>10.196096146161725</v>
      </c>
      <c r="D18" s="2"/>
      <c r="E18" s="2"/>
    </row>
    <row r="19" spans="1:6" x14ac:dyDescent="0.25">
      <c r="A19" s="44" t="s">
        <v>28</v>
      </c>
      <c r="B19" s="45"/>
      <c r="C19" s="45"/>
    </row>
    <row r="20" spans="1:6" x14ac:dyDescent="0.25">
      <c r="A20" s="20" t="s">
        <v>28</v>
      </c>
      <c r="B20" s="6">
        <v>5.47</v>
      </c>
      <c r="C20" s="6">
        <f>C46</f>
        <v>2.0117999806557707</v>
      </c>
    </row>
    <row r="21" spans="1:6" x14ac:dyDescent="0.25">
      <c r="A21" s="44" t="s">
        <v>30</v>
      </c>
      <c r="B21" s="45"/>
      <c r="C21" s="45"/>
    </row>
    <row r="22" spans="1:6" x14ac:dyDescent="0.25">
      <c r="A22" s="13" t="s">
        <v>29</v>
      </c>
      <c r="B22" s="6">
        <v>-70.2</v>
      </c>
      <c r="C22" s="6">
        <f>E50</f>
        <v>-71.154825836060255</v>
      </c>
    </row>
    <row r="23" spans="1:6" x14ac:dyDescent="0.25">
      <c r="A23" s="2"/>
    </row>
    <row r="24" spans="1:6" ht="59.25" x14ac:dyDescent="0.75">
      <c r="A24" s="48" t="s">
        <v>89</v>
      </c>
    </row>
    <row r="25" spans="1:6" ht="38.25" x14ac:dyDescent="0.25">
      <c r="A25" s="7" t="s">
        <v>22</v>
      </c>
      <c r="B25" s="7" t="s">
        <v>34</v>
      </c>
      <c r="C25" s="7" t="s">
        <v>35</v>
      </c>
      <c r="D25" s="7" t="s">
        <v>36</v>
      </c>
      <c r="E25" s="7" t="s">
        <v>32</v>
      </c>
      <c r="F25" s="7" t="s">
        <v>31</v>
      </c>
    </row>
    <row r="26" spans="1:6" x14ac:dyDescent="0.25">
      <c r="A26" s="8" t="s">
        <v>19</v>
      </c>
      <c r="B26" s="3">
        <v>59.07</v>
      </c>
      <c r="C26" s="3">
        <v>65.959999999999994</v>
      </c>
      <c r="D26" s="3">
        <v>3.39</v>
      </c>
      <c r="E26" s="6">
        <f>C26/B26*100-100</f>
        <v>11.664127306585385</v>
      </c>
      <c r="F26" s="6">
        <f>((1+E26/100)/(1+0.0339)-1)*100</f>
        <v>8.0028313246787839</v>
      </c>
    </row>
    <row r="27" spans="1:6" x14ac:dyDescent="0.25">
      <c r="A27" s="8" t="s">
        <v>20</v>
      </c>
      <c r="B27" s="3">
        <v>71.5</v>
      </c>
      <c r="C27" s="3">
        <v>74.7</v>
      </c>
      <c r="D27" s="3">
        <v>3.39</v>
      </c>
      <c r="E27" s="6">
        <f>C27/B27*100-100</f>
        <v>4.4755244755244803</v>
      </c>
      <c r="F27" s="6">
        <f>((1+E27/100)/(1+0.0339)-1)*100</f>
        <v>1.0499317879141934</v>
      </c>
    </row>
    <row r="28" spans="1:6" x14ac:dyDescent="0.25">
      <c r="F28" s="47"/>
    </row>
    <row r="29" spans="1:6" ht="38.25" x14ac:dyDescent="0.25">
      <c r="A29" s="7" t="s">
        <v>54</v>
      </c>
      <c r="B29" s="7" t="s">
        <v>42</v>
      </c>
      <c r="C29" s="7" t="s">
        <v>43</v>
      </c>
      <c r="D29" s="7" t="s">
        <v>92</v>
      </c>
      <c r="E29" s="7" t="s">
        <v>93</v>
      </c>
    </row>
    <row r="30" spans="1:6" ht="26.25" x14ac:dyDescent="0.25">
      <c r="A30" s="29" t="s">
        <v>41</v>
      </c>
      <c r="B30" s="18">
        <v>5.53</v>
      </c>
      <c r="C30" s="18">
        <f>B30/12*11</f>
        <v>5.0691666666666668</v>
      </c>
      <c r="D30" s="18">
        <v>5.07</v>
      </c>
      <c r="E30" s="18">
        <f>((1+D30/100)/(1+0.0339)-1)*100</f>
        <v>1.6249153689911866</v>
      </c>
    </row>
    <row r="31" spans="1:6" x14ac:dyDescent="0.25">
      <c r="A31" s="22" t="s">
        <v>2</v>
      </c>
      <c r="B31" s="18">
        <v>0.76</v>
      </c>
      <c r="C31" s="18">
        <f>B31/12*11</f>
        <v>0.69666666666666677</v>
      </c>
      <c r="D31" s="18">
        <f>C31+E26</f>
        <v>12.360793973252052</v>
      </c>
      <c r="E31" s="18">
        <f>((1+D31/100)/(1+0.0339)-1)*100</f>
        <v>8.6766553566612217</v>
      </c>
    </row>
    <row r="32" spans="1:6" x14ac:dyDescent="0.25">
      <c r="A32" s="22" t="s">
        <v>3</v>
      </c>
      <c r="B32" s="18">
        <v>0.26</v>
      </c>
      <c r="C32" s="18">
        <f t="shared" ref="C32" si="2">B32/12*11</f>
        <v>0.23833333333333334</v>
      </c>
      <c r="D32" s="18">
        <f>C32+E27</f>
        <v>4.7138578088578136</v>
      </c>
      <c r="E32" s="18">
        <f>((1+D32/100)/(1+0.0339)-1)*100</f>
        <v>1.2804505356976748</v>
      </c>
    </row>
    <row r="33" spans="1:8" x14ac:dyDescent="0.25">
      <c r="A33" s="2"/>
      <c r="B33" s="2"/>
      <c r="C33" s="2"/>
      <c r="D33" s="2"/>
    </row>
    <row r="34" spans="1:8" ht="38.25" x14ac:dyDescent="0.25">
      <c r="A34" s="7" t="s">
        <v>13</v>
      </c>
      <c r="B34" s="7" t="s">
        <v>55</v>
      </c>
      <c r="C34" s="7" t="s">
        <v>31</v>
      </c>
    </row>
    <row r="35" spans="1:8" x14ac:dyDescent="0.25">
      <c r="A35" s="30" t="s">
        <v>16</v>
      </c>
      <c r="B35" s="18">
        <v>5.75</v>
      </c>
      <c r="C35" s="18">
        <f>((1+B35/100)/(1+0.0339)-1)*100</f>
        <v>2.2826192088209796</v>
      </c>
      <c r="F35" s="16"/>
    </row>
    <row r="36" spans="1:8" x14ac:dyDescent="0.25">
      <c r="A36" s="30" t="s">
        <v>11</v>
      </c>
      <c r="B36" s="18">
        <v>3.58</v>
      </c>
      <c r="C36" s="18">
        <f>((1+B36/100)/(1+0.0339)-1)*100</f>
        <v>0.18377019054067745</v>
      </c>
      <c r="F36" s="16"/>
    </row>
    <row r="37" spans="1:8" x14ac:dyDescent="0.25">
      <c r="F37" s="16"/>
    </row>
    <row r="38" spans="1:8" ht="38.25" x14ac:dyDescent="0.25">
      <c r="A38" s="7" t="s">
        <v>22</v>
      </c>
      <c r="B38" s="7" t="s">
        <v>34</v>
      </c>
      <c r="C38" s="7" t="s">
        <v>35</v>
      </c>
      <c r="D38" s="7" t="s">
        <v>36</v>
      </c>
      <c r="E38" s="7" t="s">
        <v>32</v>
      </c>
      <c r="F38" s="7" t="s">
        <v>31</v>
      </c>
    </row>
    <row r="39" spans="1:8" x14ac:dyDescent="0.25">
      <c r="A39" s="4" t="s">
        <v>37</v>
      </c>
      <c r="B39" s="17">
        <v>2541</v>
      </c>
      <c r="C39" s="17">
        <v>2472</v>
      </c>
      <c r="D39" s="3">
        <v>3.39</v>
      </c>
      <c r="E39" s="11">
        <f>C39/B39*100-100</f>
        <v>-2.7154663518299884</v>
      </c>
      <c r="F39" s="6">
        <f>((1+E39/100)/(1+0.0339)-1)*100</f>
        <v>-5.905277446397128</v>
      </c>
    </row>
    <row r="40" spans="1:8" x14ac:dyDescent="0.25">
      <c r="A40" s="4" t="s">
        <v>38</v>
      </c>
      <c r="B40" s="5">
        <v>32.96</v>
      </c>
      <c r="C40" s="5">
        <v>28.84</v>
      </c>
      <c r="D40" s="3">
        <v>3.39</v>
      </c>
      <c r="E40" s="11">
        <f>C40/B40*100-100</f>
        <v>-12.5</v>
      </c>
      <c r="F40" s="6">
        <f>((1+E40/100)/(1+0.0339)-1)*100</f>
        <v>-15.368991198375092</v>
      </c>
    </row>
    <row r="41" spans="1:8" x14ac:dyDescent="0.25">
      <c r="A41" s="4" t="s">
        <v>39</v>
      </c>
      <c r="B41" s="17">
        <v>1865</v>
      </c>
      <c r="C41" s="17">
        <v>1636</v>
      </c>
      <c r="D41" s="3">
        <v>3.39</v>
      </c>
      <c r="E41" s="11">
        <f>C41/B41*100-100</f>
        <v>-12.278820375335116</v>
      </c>
      <c r="F41" s="6">
        <f>((1+E41/100)/(1+0.0339)-1)*100</f>
        <v>-15.155063715383621</v>
      </c>
    </row>
    <row r="42" spans="1:8" x14ac:dyDescent="0.25">
      <c r="A42" s="4" t="s">
        <v>40</v>
      </c>
      <c r="B42" s="17">
        <v>2139</v>
      </c>
      <c r="C42" s="17">
        <v>2437</v>
      </c>
      <c r="D42" s="3">
        <v>3.39</v>
      </c>
      <c r="E42" s="11">
        <f>C42/B42*100-100</f>
        <v>13.931743805516604</v>
      </c>
      <c r="F42" s="6">
        <f>((1+E42/100)/(1+0.0339)-1)*100</f>
        <v>10.196096146161725</v>
      </c>
    </row>
    <row r="43" spans="1:8" x14ac:dyDescent="0.25">
      <c r="F43" s="16"/>
    </row>
    <row r="44" spans="1:8" s="2" customFormat="1" x14ac:dyDescent="0.25">
      <c r="A44" s="16"/>
      <c r="B44" s="16"/>
      <c r="C44" s="16"/>
      <c r="D44" s="16"/>
      <c r="E44" s="16"/>
      <c r="G44" s="16"/>
      <c r="H44" s="16"/>
    </row>
    <row r="45" spans="1:8" s="2" customFormat="1" ht="25.5" x14ac:dyDescent="0.25">
      <c r="A45" s="7" t="s">
        <v>22</v>
      </c>
      <c r="B45" s="7" t="s">
        <v>88</v>
      </c>
      <c r="C45" s="7" t="s">
        <v>87</v>
      </c>
      <c r="D45" s="16"/>
      <c r="E45" s="16"/>
      <c r="G45" s="16"/>
      <c r="H45" s="16"/>
    </row>
    <row r="46" spans="1:8" s="2" customFormat="1" ht="26.25" x14ac:dyDescent="0.25">
      <c r="A46" s="23" t="s">
        <v>60</v>
      </c>
      <c r="B46" s="5">
        <v>5.47</v>
      </c>
      <c r="C46" s="18">
        <f>((1+B46/100)/(1+0.0339)-1)*100</f>
        <v>2.0117999806557707</v>
      </c>
      <c r="D46" s="16"/>
      <c r="E46" s="16"/>
      <c r="G46" s="16"/>
      <c r="H46" s="16"/>
    </row>
    <row r="47" spans="1:8" s="2" customFormat="1" x14ac:dyDescent="0.25">
      <c r="A47" s="16"/>
      <c r="B47" s="16"/>
      <c r="C47" s="16"/>
      <c r="D47" s="16"/>
      <c r="E47" s="16"/>
      <c r="G47" s="16"/>
      <c r="H47" s="16"/>
    </row>
    <row r="48" spans="1:8" s="2" customFormat="1" x14ac:dyDescent="0.25">
      <c r="A48" s="16"/>
      <c r="B48" s="16"/>
      <c r="C48" s="16"/>
      <c r="G48" s="16"/>
      <c r="H48" s="16"/>
    </row>
    <row r="49" spans="1:8" s="2" customFormat="1" ht="25.5" x14ac:dyDescent="0.25">
      <c r="A49" s="7" t="s">
        <v>30</v>
      </c>
      <c r="B49" s="7" t="s">
        <v>59</v>
      </c>
      <c r="C49" s="7" t="s">
        <v>81</v>
      </c>
      <c r="D49" s="7" t="s">
        <v>86</v>
      </c>
      <c r="E49" s="7" t="s">
        <v>87</v>
      </c>
      <c r="G49" s="16"/>
      <c r="H49" s="16"/>
    </row>
    <row r="50" spans="1:8" s="2" customFormat="1" x14ac:dyDescent="0.25">
      <c r="A50" s="9" t="s">
        <v>29</v>
      </c>
      <c r="B50" s="49">
        <v>13444.88</v>
      </c>
      <c r="C50" s="49">
        <v>4009.67</v>
      </c>
      <c r="D50" s="10">
        <f>C50*100/B50-100</f>
        <v>-70.176974431902693</v>
      </c>
      <c r="E50" s="18">
        <f>((1+D50/100)/(1+0.0339)-1)*100</f>
        <v>-71.154825836060255</v>
      </c>
    </row>
    <row r="51" spans="1:8" s="2" customFormat="1" x14ac:dyDescent="0.25">
      <c r="A51" s="16"/>
      <c r="B51" s="16"/>
      <c r="C51" s="16"/>
      <c r="D51" s="16"/>
      <c r="E51" s="16"/>
    </row>
    <row r="52" spans="1:8" s="2" customFormat="1" x14ac:dyDescent="0.25">
      <c r="A52" s="16"/>
      <c r="B52" s="16"/>
      <c r="C52" s="16"/>
      <c r="E52" s="16"/>
      <c r="F52" s="16"/>
    </row>
  </sheetData>
  <sortState ref="A49:B63">
    <sortCondition ref="B50"/>
  </sortState>
  <mergeCells count="1">
    <mergeCell ref="A3:C3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O23" sqref="O23"/>
    </sheetView>
  </sheetViews>
  <sheetFormatPr defaultRowHeight="15" x14ac:dyDescent="0.25"/>
  <cols>
    <col min="1" max="1" width="33.42578125" customWidth="1"/>
    <col min="2" max="2" width="41.7109375" customWidth="1"/>
  </cols>
  <sheetData>
    <row r="1" spans="1:2" ht="27.75" x14ac:dyDescent="0.25">
      <c r="A1" s="24" t="s">
        <v>61</v>
      </c>
      <c r="B1" s="16"/>
    </row>
    <row r="2" spans="1:2" ht="33" customHeight="1" thickBot="1" x14ac:dyDescent="0.3">
      <c r="A2" s="7" t="s">
        <v>13</v>
      </c>
      <c r="B2" s="7" t="s">
        <v>33</v>
      </c>
    </row>
    <row r="3" spans="1:2" x14ac:dyDescent="0.25">
      <c r="A3" s="27" t="s">
        <v>21</v>
      </c>
      <c r="B3" s="28">
        <f>'2018'!C18</f>
        <v>10.196096146161725</v>
      </c>
    </row>
    <row r="4" spans="1:2" x14ac:dyDescent="0.25">
      <c r="A4" s="25" t="s">
        <v>26</v>
      </c>
      <c r="B4" s="43">
        <f>'2018'!C9</f>
        <v>8.6766553566612217</v>
      </c>
    </row>
    <row r="5" spans="1:2" x14ac:dyDescent="0.25">
      <c r="A5" s="25" t="s">
        <v>23</v>
      </c>
      <c r="B5" s="26">
        <f>'2018'!C5</f>
        <v>8.0028313246787839</v>
      </c>
    </row>
    <row r="6" spans="1:2" x14ac:dyDescent="0.25">
      <c r="A6" s="25" t="s">
        <v>16</v>
      </c>
      <c r="B6" s="26">
        <f>'2018'!C12</f>
        <v>2.2826192088209796</v>
      </c>
    </row>
    <row r="7" spans="1:2" x14ac:dyDescent="0.25">
      <c r="A7" s="25" t="s">
        <v>27</v>
      </c>
      <c r="B7" s="26">
        <f>'2018'!C20</f>
        <v>2.0117999806557707</v>
      </c>
    </row>
    <row r="8" spans="1:2" x14ac:dyDescent="0.25">
      <c r="A8" s="25" t="s">
        <v>24</v>
      </c>
      <c r="B8" s="26">
        <f>'2018'!C8</f>
        <v>1.6249153689911866</v>
      </c>
    </row>
    <row r="9" spans="1:2" x14ac:dyDescent="0.25">
      <c r="A9" s="25" t="s">
        <v>25</v>
      </c>
      <c r="B9" s="26">
        <f>'2018'!C10</f>
        <v>1.2804505356976748</v>
      </c>
    </row>
    <row r="10" spans="1:2" s="16" customFormat="1" x14ac:dyDescent="0.25">
      <c r="A10" s="25" t="s">
        <v>15</v>
      </c>
      <c r="B10" s="26">
        <f>'2018'!C6</f>
        <v>1.0499317879141934</v>
      </c>
    </row>
    <row r="11" spans="1:2" x14ac:dyDescent="0.25">
      <c r="A11" s="25" t="s">
        <v>11</v>
      </c>
      <c r="B11" s="26">
        <f>'2018'!C13</f>
        <v>0.18377019054067745</v>
      </c>
    </row>
    <row r="12" spans="1:2" x14ac:dyDescent="0.25">
      <c r="A12" s="25" t="s">
        <v>14</v>
      </c>
      <c r="B12" s="26">
        <f>'2018'!C4</f>
        <v>-3.2788470838572392</v>
      </c>
    </row>
    <row r="13" spans="1:2" x14ac:dyDescent="0.25">
      <c r="A13" s="25" t="s">
        <v>8</v>
      </c>
      <c r="B13" s="26">
        <f>'2018'!C15</f>
        <v>-5.905277446397128</v>
      </c>
    </row>
    <row r="14" spans="1:2" x14ac:dyDescent="0.25">
      <c r="A14" s="25" t="s">
        <v>10</v>
      </c>
      <c r="B14" s="26">
        <f>'2018'!C17</f>
        <v>-15.155063715383621</v>
      </c>
    </row>
    <row r="15" spans="1:2" x14ac:dyDescent="0.25">
      <c r="A15" s="25" t="s">
        <v>9</v>
      </c>
      <c r="B15" s="26">
        <f>'2018'!C16</f>
        <v>-15.368991198375092</v>
      </c>
    </row>
    <row r="16" spans="1:2" x14ac:dyDescent="0.25">
      <c r="A16" s="25" t="s">
        <v>29</v>
      </c>
      <c r="B16" s="26">
        <f>'2018'!C22</f>
        <v>-71.154825836060255</v>
      </c>
    </row>
  </sheetData>
  <sortState ref="A2:B16">
    <sortCondition descending="1" ref="B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D4" sqref="D4"/>
    </sheetView>
  </sheetViews>
  <sheetFormatPr defaultRowHeight="15" x14ac:dyDescent="0.25"/>
  <cols>
    <col min="1" max="1" width="39.5703125" customWidth="1"/>
    <col min="2" max="2" width="22" customWidth="1"/>
    <col min="3" max="3" width="19.42578125" customWidth="1"/>
    <col min="4" max="4" width="20.85546875" style="16" customWidth="1"/>
    <col min="5" max="5" width="22.140625" style="16" customWidth="1"/>
    <col min="6" max="6" width="31" customWidth="1"/>
    <col min="7" max="7" width="31" style="16" customWidth="1"/>
    <col min="8" max="8" width="21.7109375" customWidth="1"/>
  </cols>
  <sheetData>
    <row r="1" spans="1:7" ht="37.5" customHeight="1" thickBot="1" x14ac:dyDescent="0.3">
      <c r="A1" s="38" t="s">
        <v>13</v>
      </c>
      <c r="B1" s="39" t="s">
        <v>33</v>
      </c>
      <c r="C1" s="39" t="s">
        <v>71</v>
      </c>
      <c r="D1" s="40" t="s">
        <v>72</v>
      </c>
      <c r="F1" s="16"/>
      <c r="G1"/>
    </row>
    <row r="2" spans="1:7" x14ac:dyDescent="0.25">
      <c r="A2" s="27" t="s">
        <v>21</v>
      </c>
      <c r="B2" s="28">
        <v>10.196096146161725</v>
      </c>
      <c r="C2" s="37">
        <v>300000</v>
      </c>
      <c r="D2" s="37">
        <f>C2*(1+B2/100)-300000</f>
        <v>30588.288438485179</v>
      </c>
      <c r="F2" s="16"/>
      <c r="G2"/>
    </row>
    <row r="3" spans="1:7" x14ac:dyDescent="0.25">
      <c r="A3" s="25" t="s">
        <v>26</v>
      </c>
      <c r="B3" s="43">
        <v>8.6766553566612217</v>
      </c>
      <c r="C3" s="36">
        <v>300000</v>
      </c>
      <c r="D3" s="36">
        <f>C3*(1+B3/100)-300000</f>
        <v>26029.966069983668</v>
      </c>
      <c r="F3" s="16"/>
      <c r="G3"/>
    </row>
    <row r="4" spans="1:7" x14ac:dyDescent="0.25">
      <c r="A4" s="25" t="s">
        <v>85</v>
      </c>
      <c r="B4" s="26">
        <v>8.0028313246787839</v>
      </c>
      <c r="C4" s="36">
        <v>300000</v>
      </c>
      <c r="D4" s="36">
        <f t="shared" ref="D2:D15" si="0">C4*(1+B4/100)-300000</f>
        <v>24008.493974036362</v>
      </c>
      <c r="F4" s="16"/>
      <c r="G4"/>
    </row>
    <row r="5" spans="1:7" x14ac:dyDescent="0.25">
      <c r="A5" s="25" t="s">
        <v>16</v>
      </c>
      <c r="B5" s="26">
        <v>2.2826192088209796</v>
      </c>
      <c r="C5" s="36">
        <v>300000</v>
      </c>
      <c r="D5" s="36">
        <f t="shared" si="0"/>
        <v>6847.8576264629373</v>
      </c>
      <c r="F5" s="16"/>
      <c r="G5"/>
    </row>
    <row r="6" spans="1:7" x14ac:dyDescent="0.25">
      <c r="A6" s="25" t="s">
        <v>27</v>
      </c>
      <c r="B6" s="26">
        <v>2.0117999806557707</v>
      </c>
      <c r="C6" s="36">
        <v>300000</v>
      </c>
      <c r="D6" s="36">
        <f t="shared" si="0"/>
        <v>6035.3999419673346</v>
      </c>
      <c r="F6" s="16"/>
      <c r="G6"/>
    </row>
    <row r="7" spans="1:7" x14ac:dyDescent="0.25">
      <c r="A7" s="25" t="s">
        <v>24</v>
      </c>
      <c r="B7" s="26">
        <v>1.6249153689911866</v>
      </c>
      <c r="C7" s="36">
        <v>300000</v>
      </c>
      <c r="D7" s="36">
        <f t="shared" si="0"/>
        <v>4874.7461069735582</v>
      </c>
      <c r="F7" s="16"/>
      <c r="G7"/>
    </row>
    <row r="8" spans="1:7" x14ac:dyDescent="0.25">
      <c r="A8" s="25" t="s">
        <v>25</v>
      </c>
      <c r="B8" s="26">
        <v>1.2804505356976748</v>
      </c>
      <c r="C8" s="36">
        <v>300000</v>
      </c>
      <c r="D8" s="36">
        <f t="shared" si="0"/>
        <v>3841.3516070930054</v>
      </c>
      <c r="F8" s="16"/>
      <c r="G8"/>
    </row>
    <row r="9" spans="1:7" x14ac:dyDescent="0.25">
      <c r="A9" s="25" t="s">
        <v>15</v>
      </c>
      <c r="B9" s="26">
        <v>1.0499317879141934</v>
      </c>
      <c r="C9" s="36">
        <v>300000</v>
      </c>
      <c r="D9" s="36">
        <f t="shared" si="0"/>
        <v>3149.7953637425671</v>
      </c>
      <c r="F9" s="16"/>
      <c r="G9"/>
    </row>
    <row r="10" spans="1:7" x14ac:dyDescent="0.25">
      <c r="A10" s="25" t="s">
        <v>11</v>
      </c>
      <c r="B10" s="26">
        <v>0.18377019054067745</v>
      </c>
      <c r="C10" s="36">
        <v>300000</v>
      </c>
      <c r="D10" s="36">
        <f t="shared" si="0"/>
        <v>551.31057162204525</v>
      </c>
      <c r="F10" s="16"/>
      <c r="G10"/>
    </row>
    <row r="11" spans="1:7" x14ac:dyDescent="0.25">
      <c r="A11" s="25" t="s">
        <v>14</v>
      </c>
      <c r="B11" s="26">
        <v>-3.2788470838572392</v>
      </c>
      <c r="C11" s="36">
        <v>300000</v>
      </c>
      <c r="D11" s="36">
        <f t="shared" si="0"/>
        <v>-9836.5412515717326</v>
      </c>
      <c r="F11" s="16"/>
      <c r="G11"/>
    </row>
    <row r="12" spans="1:7" x14ac:dyDescent="0.25">
      <c r="A12" s="25" t="s">
        <v>8</v>
      </c>
      <c r="B12" s="26">
        <v>-5.905277446397128</v>
      </c>
      <c r="C12" s="36">
        <v>300000</v>
      </c>
      <c r="D12" s="36">
        <f t="shared" si="0"/>
        <v>-17715.832339191402</v>
      </c>
      <c r="F12" s="16"/>
      <c r="G12"/>
    </row>
    <row r="13" spans="1:7" x14ac:dyDescent="0.25">
      <c r="A13" s="25" t="s">
        <v>10</v>
      </c>
      <c r="B13" s="26">
        <v>-15.155063715383621</v>
      </c>
      <c r="C13" s="36">
        <v>300000</v>
      </c>
      <c r="D13" s="36">
        <f t="shared" si="0"/>
        <v>-45465.191146150872</v>
      </c>
      <c r="F13" s="16"/>
      <c r="G13"/>
    </row>
    <row r="14" spans="1:7" x14ac:dyDescent="0.25">
      <c r="A14" s="25" t="s">
        <v>9</v>
      </c>
      <c r="B14" s="26">
        <v>-15.368991198375092</v>
      </c>
      <c r="C14" s="36">
        <v>300000</v>
      </c>
      <c r="D14" s="36">
        <f t="shared" si="0"/>
        <v>-46106.973595125281</v>
      </c>
      <c r="F14" s="16"/>
      <c r="G14"/>
    </row>
    <row r="15" spans="1:7" x14ac:dyDescent="0.25">
      <c r="A15" s="25" t="s">
        <v>29</v>
      </c>
      <c r="B15" s="26">
        <v>-71.154825836060255</v>
      </c>
      <c r="C15" s="36">
        <v>300000</v>
      </c>
      <c r="D15" s="36">
        <f t="shared" si="0"/>
        <v>-213464.47750818077</v>
      </c>
      <c r="F15" s="16"/>
      <c r="G15"/>
    </row>
    <row r="16" spans="1:7" x14ac:dyDescent="0.25">
      <c r="B16" s="16"/>
      <c r="C16" s="16"/>
      <c r="F16" s="16"/>
    </row>
    <row r="17" spans="1:7" ht="33.75" x14ac:dyDescent="0.25">
      <c r="A17" s="53" t="s">
        <v>73</v>
      </c>
      <c r="B17" s="54"/>
    </row>
    <row r="18" spans="1:7" x14ac:dyDescent="0.25">
      <c r="A18" s="25" t="s">
        <v>74</v>
      </c>
      <c r="B18" s="41">
        <f>300000/59.07</f>
        <v>5078.7201625190455</v>
      </c>
    </row>
    <row r="19" spans="1:7" x14ac:dyDescent="0.25">
      <c r="A19" s="25" t="s">
        <v>75</v>
      </c>
      <c r="B19" s="41">
        <f>300000/71.5</f>
        <v>4195.8041958041958</v>
      </c>
    </row>
    <row r="23" spans="1:7" ht="51" x14ac:dyDescent="0.25">
      <c r="A23" s="7" t="s">
        <v>56</v>
      </c>
      <c r="B23" s="7" t="s">
        <v>76</v>
      </c>
      <c r="C23" s="7" t="s">
        <v>90</v>
      </c>
      <c r="D23" s="7" t="s">
        <v>91</v>
      </c>
      <c r="E23" s="7" t="s">
        <v>84</v>
      </c>
      <c r="F23" s="7" t="s">
        <v>83</v>
      </c>
      <c r="G23" s="7" t="s">
        <v>82</v>
      </c>
    </row>
    <row r="24" spans="1:7" x14ac:dyDescent="0.25">
      <c r="A24" s="25" t="s">
        <v>77</v>
      </c>
      <c r="B24" s="31">
        <v>300000</v>
      </c>
      <c r="C24" s="31">
        <v>38.119999999999997</v>
      </c>
      <c r="D24" s="50">
        <f>((1+38.12/100)/(1+0.0339)-1)*100</f>
        <v>33.591256407776385</v>
      </c>
      <c r="E24" s="31">
        <f>B24*(1+C24/100)-300000</f>
        <v>114360</v>
      </c>
      <c r="F24" s="31">
        <f>B24*(1+(33.59)/100)-300000</f>
        <v>100770</v>
      </c>
      <c r="G24" s="42">
        <f>F24*0.87</f>
        <v>87669.9</v>
      </c>
    </row>
    <row r="25" spans="1:7" x14ac:dyDescent="0.25">
      <c r="A25" s="25" t="s">
        <v>80</v>
      </c>
      <c r="B25" s="31">
        <v>300000</v>
      </c>
      <c r="C25" s="31">
        <v>36.36</v>
      </c>
      <c r="D25" s="50">
        <f>((1+36.36/100)/(1+0.0339)-1)*100</f>
        <v>31.888964116452257</v>
      </c>
      <c r="E25" s="31">
        <f>B25*(1+C25/100)-300000</f>
        <v>109080</v>
      </c>
      <c r="F25" s="31">
        <f>B25*(1+(31.89)/100)-300000</f>
        <v>95670</v>
      </c>
      <c r="G25" s="42">
        <f>F25*0.87</f>
        <v>83232.899999999994</v>
      </c>
    </row>
  </sheetData>
  <mergeCells count="1">
    <mergeCell ref="A17:B17"/>
  </mergeCells>
  <hyperlinks>
    <hyperlink ref="A24" r:id="rId1" display="http://pif.investfunds.ru/funds/1009/"/>
  </hyperlink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14" sqref="B14"/>
    </sheetView>
  </sheetViews>
  <sheetFormatPr defaultRowHeight="15" x14ac:dyDescent="0.25"/>
  <cols>
    <col min="1" max="1" width="20.42578125" style="16" customWidth="1"/>
    <col min="2" max="2" width="31.140625" customWidth="1"/>
    <col min="3" max="3" width="29.140625" customWidth="1"/>
    <col min="4" max="4" width="27.140625" customWidth="1"/>
    <col min="6" max="6" width="11.140625" bestFit="1" customWidth="1"/>
  </cols>
  <sheetData>
    <row r="1" spans="1:6" x14ac:dyDescent="0.25">
      <c r="A1" s="33" t="s">
        <v>69</v>
      </c>
      <c r="B1" s="32" t="s">
        <v>63</v>
      </c>
      <c r="C1" s="32" t="s">
        <v>64</v>
      </c>
      <c r="D1" s="32" t="s">
        <v>70</v>
      </c>
    </row>
    <row r="2" spans="1:6" x14ac:dyDescent="0.25">
      <c r="A2" s="25" t="s">
        <v>65</v>
      </c>
      <c r="B2" s="31">
        <v>2692</v>
      </c>
      <c r="C2" s="31">
        <v>2472</v>
      </c>
      <c r="D2" s="35">
        <f>(C2/B2)*100-100</f>
        <v>-8.1723625557206532</v>
      </c>
      <c r="F2" s="34"/>
    </row>
    <row r="3" spans="1:6" x14ac:dyDescent="0.25">
      <c r="A3" s="25" t="s">
        <v>66</v>
      </c>
      <c r="B3" s="31">
        <v>37.49</v>
      </c>
      <c r="C3" s="31">
        <v>28.64</v>
      </c>
      <c r="D3" s="35">
        <f t="shared" ref="D3:D5" si="0">(C3/B3)*100-100</f>
        <v>-23.606295012003216</v>
      </c>
    </row>
    <row r="4" spans="1:6" x14ac:dyDescent="0.25">
      <c r="A4" s="25" t="s">
        <v>67</v>
      </c>
      <c r="B4" s="31">
        <v>2095</v>
      </c>
      <c r="C4" s="31">
        <v>1643</v>
      </c>
      <c r="D4" s="35">
        <f t="shared" si="0"/>
        <v>-21.575178997613364</v>
      </c>
    </row>
    <row r="5" spans="1:6" x14ac:dyDescent="0.25">
      <c r="A5" s="25" t="s">
        <v>68</v>
      </c>
      <c r="B5" s="31">
        <v>1730</v>
      </c>
      <c r="C5" s="31">
        <v>2437</v>
      </c>
      <c r="D5" s="35">
        <f t="shared" si="0"/>
        <v>40.867052023121403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C2" sqref="C2"/>
    </sheetView>
  </sheetViews>
  <sheetFormatPr defaultRowHeight="15" x14ac:dyDescent="0.25"/>
  <cols>
    <col min="1" max="1" width="38.5703125" customWidth="1"/>
    <col min="2" max="2" width="32.28515625" customWidth="1"/>
  </cols>
  <sheetData>
    <row r="1" spans="1:2" ht="42.75" customHeight="1" x14ac:dyDescent="0.25">
      <c r="A1" s="55" t="s">
        <v>58</v>
      </c>
      <c r="B1" s="56"/>
    </row>
    <row r="2" spans="1:2" x14ac:dyDescent="0.25">
      <c r="A2" s="19" t="s">
        <v>45</v>
      </c>
      <c r="B2" s="21">
        <v>103.39</v>
      </c>
    </row>
    <row r="4" spans="1:2" x14ac:dyDescent="0.25">
      <c r="A4" s="15" t="s">
        <v>50</v>
      </c>
    </row>
    <row r="5" spans="1:2" x14ac:dyDescent="0.25">
      <c r="A5" s="1" t="s">
        <v>44</v>
      </c>
    </row>
    <row r="7" spans="1:2" x14ac:dyDescent="0.25">
      <c r="A7" s="15" t="s">
        <v>47</v>
      </c>
    </row>
    <row r="8" spans="1:2" x14ac:dyDescent="0.25">
      <c r="A8" s="1" t="s">
        <v>46</v>
      </c>
    </row>
    <row r="10" spans="1:2" x14ac:dyDescent="0.25">
      <c r="A10" s="15" t="s">
        <v>49</v>
      </c>
    </row>
    <row r="11" spans="1:2" x14ac:dyDescent="0.25">
      <c r="A11" s="1" t="s">
        <v>48</v>
      </c>
    </row>
    <row r="13" spans="1:2" x14ac:dyDescent="0.25">
      <c r="A13" s="15" t="s">
        <v>51</v>
      </c>
    </row>
    <row r="14" spans="1:2" x14ac:dyDescent="0.25">
      <c r="A14" s="1" t="s">
        <v>62</v>
      </c>
    </row>
    <row r="16" spans="1:2" x14ac:dyDescent="0.25">
      <c r="A16" s="15" t="s">
        <v>53</v>
      </c>
    </row>
    <row r="17" spans="1:1" x14ac:dyDescent="0.25">
      <c r="A17" s="1" t="s">
        <v>52</v>
      </c>
    </row>
    <row r="19" spans="1:1" x14ac:dyDescent="0.25">
      <c r="A19" s="15" t="s">
        <v>56</v>
      </c>
    </row>
    <row r="20" spans="1:1" x14ac:dyDescent="0.25">
      <c r="A20" s="1" t="s">
        <v>57</v>
      </c>
    </row>
    <row r="22" spans="1:1" x14ac:dyDescent="0.25">
      <c r="A22" t="s">
        <v>79</v>
      </c>
    </row>
    <row r="23" spans="1:1" x14ac:dyDescent="0.25">
      <c r="A23" s="1" t="s">
        <v>78</v>
      </c>
    </row>
  </sheetData>
  <mergeCells count="1">
    <mergeCell ref="A1:B1"/>
  </mergeCells>
  <hyperlinks>
    <hyperlink ref="A8" r:id="rId1"/>
    <hyperlink ref="A17" display="https://docviewer.yandex.ru/view/85410794/?*=JqEz7%2FEV3r8Rb474%2FjjrtjlYv%2BB7InVybCI6InlhLWJyb3dzZXI6Ly80RFQxdVhFUFJySlJYbFVGb2V3cnVMcGdhSGxvWHZ4WjBYMzV3RXFHZjBFM05iWmF4d002Z25XM1VYcGQtSUdISjB6Ti1DUGtmY3BHdnNPeXhJY3A5RDA0TmtZdHpGdElrdWRnMFhtWXJzZHRrV2N2"/>
    <hyperlink ref="A11" r:id="rId2"/>
    <hyperlink ref="A20" r:id="rId3"/>
    <hyperlink ref="A23" display="http://pif.investfunds.ru/funds/rate.phtml?free_ranking=0&amp;funds_types=1&amp;year=2018&amp;month=11&amp;date_from=31.10.2018&amp;date_to=30.11.2018&amp;year1=2017&amp;month1=1&amp;year2=2018&amp;month2=11&amp;min_nav=1&amp;funds_values=1&amp;specs%5B1%5D=0&amp;specs%5B2%5D=0&amp;specs%5B4%5D=0&amp;specs%5B5%5D=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2018</vt:lpstr>
      <vt:lpstr>Рейтинг инвстиционных инструмен</vt:lpstr>
      <vt:lpstr>Расчеты на 300 000</vt:lpstr>
      <vt:lpstr>Доходность за 2 года</vt:lpstr>
      <vt:lpstr>Ссылки на источники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2018-12-24T11:36:23Z</dcterms:modified>
</cp:coreProperties>
</file>